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65" windowWidth="26745" windowHeight="1386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'Bilješke'!$A$1:$J$62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<sst xmlns="http://schemas.openxmlformats.org/spreadsheetml/2006/main" count="443" uniqueCount="391">
  <si>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</si>
  <si>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</si>
  <si>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</si>
  <si>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</si>
  <si>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</si>
  <si>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</si>
  <si>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</si>
  <si>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</si>
  <si>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</si>
  <si>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</si>
  <si>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</si>
  <si>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</si>
  <si>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</si>
  <si>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</si>
  <si>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</si>
  <si>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</si>
  <si>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</si>
  <si>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</si>
  <si>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</si>
  <si>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</si>
  <si>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</si>
  <si>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</si>
  <si>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</si>
  <si>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</si>
  <si>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</si>
  <si>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</si>
  <si>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</si>
  <si>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</si>
  <si>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</si>
  <si>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</si>
  <si>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</si>
  <si>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</si>
  <si>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</si>
  <si>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</si>
  <si>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</si>
  <si>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</si>
  <si>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</si>
  <si>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</si>
  <si>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</si>
  <si>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</si>
  <si>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</si>
  <si>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</si>
  <si>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</si>
  <si>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</si>
  <si>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</si>
  <si>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</si>
  <si>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</si>
  <si>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</si>
  <si>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</si>
  <si>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</si>
  <si>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</si>
  <si>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</si>
  <si>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</si>
  <si>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</si>
  <si>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</si>
  <si>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</si>
  <si>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</si>
  <si>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</si>
  <si>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</si>
  <si>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</si>
  <si>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</si>
  <si>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</si>
  <si>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</si>
  <si>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</si>
  <si>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</si>
  <si>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</si>
  <si>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</si>
  <si>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</si>
  <si>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</si>
  <si>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</si>
  <si>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</si>
  <si>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</si>
  <si>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</si>
  <si>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</si>
  <si>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</si>
  <si>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</si>
  <si>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</si>
  <si>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</si>
  <si>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</si>
  <si>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</si>
  <si>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</si>
  <si>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</si>
  <si>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</si>
  <si>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</si>
  <si>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</si>
  <si>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</si>
  <si>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</si>
  <si>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</si>
  <si>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</si>
  <si>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</si>
  <si>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</si>
  <si>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</si>
  <si>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</si>
  <si>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</si>
  <si>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</si>
  <si>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</si>
  <si>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</si>
  <si>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</si>
  <si>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</si>
  <si>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</si>
  <si>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</si>
  <si>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</si>
  <si>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</si>
  <si>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</si>
  <si>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</si>
  <si>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</si>
  <si>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</si>
  <si>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</si>
  <si>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</si>
  <si>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</si>
  <si>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</si>
  <si>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</si>
  <si>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</si>
  <si>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</si>
  <si>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</si>
  <si>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</si>
  <si>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</si>
  <si>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</si>
  <si>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</si>
  <si>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</si>
  <si>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</si>
  <si>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</si>
  <si>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</si>
  <si>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</si>
  <si>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</si>
  <si>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</si>
  <si>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</si>
  <si>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</si>
  <si>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</si>
  <si>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</si>
  <si>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</si>
  <si>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</si>
  <si>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</si>
  <si>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</si>
  <si>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</si>
  <si>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</si>
  <si>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</si>
  <si>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</si>
  <si>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</si>
  <si>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</si>
  <si>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</si>
  <si>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</si>
  <si>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</si>
  <si>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</si>
  <si>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</si>
  <si>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</si>
  <si>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</si>
  <si>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</si>
  <si>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</si>
  <si>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</si>
  <si>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</si>
  <si>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</si>
  <si>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</si>
  <si>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</si>
  <si>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</si>
  <si>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</si>
  <si>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</si>
  <si>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</si>
  <si>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</si>
  <si>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</si>
  <si>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</si>
  <si>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</si>
  <si>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</si>
  <si>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</si>
  <si>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</si>
  <si>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</si>
  <si>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</si>
  <si>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</si>
  <si>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</si>
  <si>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</si>
  <si>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</si>
  <si>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</si>
  <si>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</si>
  <si>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</si>
  <si>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</si>
  <si>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</si>
  <si>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</si>
  <si>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</si>
  <si>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</si>
  <si>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</si>
  <si>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</si>
  <si>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</si>
  <si>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</si>
  <si>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</si>
  <si>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</si>
  <si>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</si>
  <si>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</si>
  <si>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</si>
  <si>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</si>
  <si>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</si>
  <si>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</si>
  <si>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</si>
  <si>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</si>
  <si>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</si>
  <si>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</si>
  <si>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</si>
  <si>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</si>
  <si>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</si>
  <si>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</si>
  <si>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</si>
  <si>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</si>
  <si>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</si>
  <si>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</si>
  <si>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</si>
  <si>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</si>
  <si>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</si>
  <si>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</si>
  <si>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</si>
  <si>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</si>
  <si>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</si>
  <si>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</si>
  <si>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</si>
  <si>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</si>
  <si>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</si>
  <si>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</si>
  <si>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</si>
  <si>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</si>
  <si>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</si>
  <si>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</si>
  <si>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</si>
  <si>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</si>
  <si>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</si>
  <si>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</si>
  <si>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</si>
  <si>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</si>
  <si>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</si>
  <si>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</si>
  <si>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</si>
  <si>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</si>
  <si>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</si>
  <si>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</si>
  <si>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</si>
  <si>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</si>
  <si>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</si>
  <si>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</si>
  <si>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</si>
  <si>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</si>
  <si>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</si>
  <si>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</si>
  <si>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</si>
  <si>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</si>
  <si>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</si>
  <si>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</si>
  <si>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</si>
  <si>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</si>
  <si>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</si>
  <si>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</si>
  <si>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</si>
  <si>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</si>
  <si>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</si>
  <si>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</si>
  <si>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</si>
  <si>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</si>
  <si>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</si>
  <si>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</si>
  <si>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</si>
  <si>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</si>
  <si>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</si>
  <si>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</si>
  <si>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</si>
  <si>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</si>
  <si>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</si>
  <si>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</si>
  <si>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</si>
  <si>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</si>
  <si>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</si>
  <si>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</si>
  <si>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</si>
  <si>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</si>
  <si>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</si>
  <si>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</si>
  <si>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</si>
  <si>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</si>
  <si>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</si>
  <si>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</si>
  <si>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</si>
  <si>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</si>
  <si>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</si>
  <si>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</si>
  <si>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</si>
  <si>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</si>
  <si>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</si>
  <si>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</si>
  <si>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</si>
  <si>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</si>
  <si>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</si>
  <si>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</si>
  <si>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</si>
  <si>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</si>
  <si>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</si>
  <si>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</si>
  <si>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</si>
  <si>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</si>
  <si>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</si>
  <si>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</si>
  <si>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</si>
  <si>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</si>
  <si>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</si>
  <si>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</si>
  <si>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</si>
  <si>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</si>
  <si>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</si>
  <si>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</si>
  <si>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</si>
  <si>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</si>
  <si>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</si>
  <si>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</si>
  <si>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</si>
  <si>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</si>
  <si>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</si>
  <si>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</si>
  <si>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</si>
  <si>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</si>
  <si>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</si>
  <si>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</si>
  <si>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</si>
  <si>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</si>
  <si>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</si>
  <si>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</si>
  <si>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</si>
  <si>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</si>
  <si>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</si>
  <si>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01.01.2018.</t>
  </si>
  <si>
    <t>STANOVI JADRAN d.d.</t>
  </si>
  <si>
    <t>SPLIT</t>
  </si>
  <si>
    <t>Kralja Zvonimira 14/IX</t>
  </si>
  <si>
    <t>www.stanovijadran.com</t>
  </si>
  <si>
    <t>Split</t>
  </si>
  <si>
    <t>NE</t>
  </si>
  <si>
    <t>02182190</t>
  </si>
  <si>
    <t>060227551</t>
  </si>
  <si>
    <t>88680117715</t>
  </si>
  <si>
    <t>info@stanovijadran.com</t>
  </si>
  <si>
    <t>Splitsko - dalmatinska</t>
  </si>
  <si>
    <t>6810</t>
  </si>
  <si>
    <t>Katija Barić</t>
  </si>
  <si>
    <t>021 482 374</t>
  </si>
  <si>
    <t>katija@stanovijadran.com</t>
  </si>
  <si>
    <t>Toni Jeličić Purko</t>
  </si>
  <si>
    <t xml:space="preserve"> </t>
  </si>
  <si>
    <t>Temeljni kapital iznosio je 16.262.100 kuna i uplaćen je u cijelosti. Jedini osnivač-član društva bio je Jadran Kapital d.d.</t>
  </si>
  <si>
    <t>Osobe ovlaštene za zastupanje:</t>
  </si>
  <si>
    <t>Nadzorni odbor je imenovan 18. kolovoza 2017. godine, a čine ga:</t>
  </si>
  <si>
    <t>Predmet poslovanja upisan u sudski registar:</t>
  </si>
  <si>
    <t>STANOVI JADRAN d.d. („Društvo“) za poslovanje nekretninama sa sjedištem na adresi Kralja Zvonimira</t>
  </si>
  <si>
    <t xml:space="preserve"> 14/IX, 21000 Split. Matični broj Društva je 2182190, a prema Državnom zavodu za statistiku djelatnost je </t>
  </si>
  <si>
    <t>6810 - kupnja i prodaja vlastitih nekretnina. OIB Društva je 88680117715.</t>
  </si>
  <si>
    <t xml:space="preserve">Društvo je dana 8. veljače 2007. godine upisano u sudski registar Trgovačkog suda u Splitu </t>
  </si>
  <si>
    <t>pod matičnim brojem 060227551 (Tt-07/245-2) temeljem Izjave o osnivanju od 26. siječnja 2007. godine.</t>
  </si>
  <si>
    <t xml:space="preserve">Rješenjem Trgovačkog suda u Splitu br. Tt-13/3414-7 od dana 14. listopada 2013. godine u sudski registar je upisano </t>
  </si>
  <si>
    <t xml:space="preserve">pripajanje društava Zelena vala projekt d.o.o., Peškarija d.o.o. i Ličko selo d.o.o. Društvu te pripajanje </t>
  </si>
  <si>
    <t>temeljnog kapitala navedenih društava, čime je temeljni kapital iznosio 29.046.600 kuna.</t>
  </si>
  <si>
    <t xml:space="preserve">Rješenjem Trgovačkog suda u Splitu br. Tt-14/5434-5 od dana 21. travnja 2015. godine, u sudski registar upisano je </t>
  </si>
  <si>
    <t xml:space="preserve">pripajanje društva Jadran Solar d.o.o., čime je pripojeno 1.000.000 kuna temeljnog kapitala te je tada ukupni temeljni </t>
  </si>
  <si>
    <t>kapital društva iznosio 30.046.600 kuna. Odlukom članova društva od 30. lipnja 2016. godine povećan je temeljni</t>
  </si>
  <si>
    <t xml:space="preserve"> kapital za 15.861.400 kuna pretvaranjem dijela potraživanja u temeljni kapital te je isti tada iznosio 45.908.000 kuna.</t>
  </si>
  <si>
    <t xml:space="preserve">Rješenjem Trgovačkog suda u Splitu, br. Tt-17/3110-5 od 13.04.2017, objavljeno dana 14.04.2017.g. </t>
  </si>
  <si>
    <t xml:space="preserve">Trgovački sud u Splitu, po sucu pojedincu Edi Maleš, u registarskom predmetu upisa u sudski registar odluke </t>
  </si>
  <si>
    <t xml:space="preserve">o povećanju temeljnog kapitala, po prijedlogu predlagatelja STANOVI JADRAN d.d. za poslovanje nekretninama, </t>
  </si>
  <si>
    <t>Split, Kralja Zvonimira 14/IX, 13. travnja 2017. godine upisana je odluka o povećanju temeljnog kapitala</t>
  </si>
  <si>
    <t xml:space="preserve">kod subjekta upisa upisanog pod tvrtkom STANOVI JADRAN d.d. za poslovanje nekretninama, sa sjedištem </t>
  </si>
  <si>
    <t>u Splitu, Kralja Zvonimira 14/IX, u registarski uložak s MBS:060227551, OIB:88680117715, s iznosa od</t>
  </si>
  <si>
    <t xml:space="preserve"> 45.908.000,00 kuna, za iznos od 30.340.000,00 kuna, uplatom u novcu, izdavanjem 151.700 novih redovnih dionica </t>
  </si>
  <si>
    <t>u nematerijaliziranom obliku, na iznos od 76.248.000,00 kuna.</t>
  </si>
  <si>
    <t xml:space="preserve">Temeljni kapital u iznosu od 76.248.000,00 kuna, podijeljen je na 381.240 novih redovnih dionica u nematerijaliziranom </t>
  </si>
  <si>
    <t>obliku, koje glase na ime, svaka u nominalnom iznosu od 200,00 kuna.</t>
  </si>
  <si>
    <t>Maja  Bradić, član uprave, zastupa društvo pojedinačno i samostalno od 10. rujna 2012. godine.</t>
  </si>
  <si>
    <t>Toni Jeličić Purko, predsjednik Uprave, zastupa društvo pojedinačno i samostalno od  21. listopada 2016. godine.</t>
  </si>
  <si>
    <t>Miroslav Jeličić-Purko, predsjednik</t>
  </si>
  <si>
    <t>Bojan Vrančić, zamjenik predsjednika</t>
  </si>
  <si>
    <t>Katija Barić, član</t>
  </si>
  <si>
    <t>Ante Jelčić, član</t>
  </si>
  <si>
    <t>Tvrtko Brajković,  član</t>
  </si>
  <si>
    <t>kupnja i prodaja vlastitih nekretnina</t>
  </si>
  <si>
    <t>iznajmljivanje i upravljanje vlastitim nekretninama</t>
  </si>
  <si>
    <t>poslovanje nekretninama</t>
  </si>
  <si>
    <t>usluge savjetovanja u vezi s poslovanjem i upravljanjem</t>
  </si>
  <si>
    <t>računovodstveni i knjigovodstveni poslovi</t>
  </si>
  <si>
    <t xml:space="preserve"> pripremanje hrane i pružanje usluga prehrane, pripremanje i usluživanje pića i napitaka i pružanje usluga smještaja;</t>
  </si>
  <si>
    <t xml:space="preserve"> pripremanje hrane za potrošnju na drugom mjestu  (u prijevoznim sredstvima, na priredbama) i opskrba tom hranom  </t>
  </si>
  <si>
    <t>(Catering)</t>
  </si>
  <si>
    <t>Obveznik: STANOVI JADRAN d.d.</t>
  </si>
  <si>
    <t>poslovi upravljanja nekretninama i održavanje nekretnina</t>
  </si>
  <si>
    <t xml:space="preserve">U Splitu, </t>
  </si>
  <si>
    <t>Direktor:</t>
  </si>
  <si>
    <t>___________________</t>
  </si>
  <si>
    <t>31.12.2018.</t>
  </si>
  <si>
    <t>stanje na dan 31.12.2018.</t>
  </si>
  <si>
    <t>u razdoblju 01.10.18. do 31.12.18.</t>
  </si>
  <si>
    <t>u razdoblju 01.01.18. do 31.12.18.</t>
  </si>
  <si>
    <t>25. siječnja 2019.g.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</si>
</sst>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2" applyFont="1" applyAlignment="1">
      <alignment/>
      <protection/>
    </xf>
    <xf numFmtId="0" fontId="0" fillId="0" borderId="0" xfId="0" applyFont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49" fontId="19" fillId="33" borderId="30" xfId="0" applyNumberFormat="1" applyFont="1" applyFill="1" applyBorder="1" applyAlignment="1" applyProtection="1">
      <alignment horizontal="left" vertical="center"/>
      <protection locked="0"/>
    </xf>
    <xf numFmtId="49" fontId="19" fillId="0" borderId="31" xfId="0" applyNumberFormat="1" applyFont="1" applyBorder="1" applyAlignment="1" applyProtection="1">
      <alignment horizontal="left" vertical="center"/>
      <protection locked="0"/>
    </xf>
    <xf numFmtId="49" fontId="19" fillId="0" borderId="32" xfId="0" applyNumberFormat="1" applyFont="1" applyBorder="1" applyAlignment="1" applyProtection="1">
      <alignment horizontal="left" vertical="center"/>
      <protection locked="0"/>
    </xf>
    <xf numFmtId="0" fontId="10" fillId="0" borderId="33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4" xfId="57" applyFont="1" applyBorder="1" applyAlignment="1" applyProtection="1">
      <alignment horizontal="center" vertical="top"/>
      <protection hidden="1"/>
    </xf>
    <xf numFmtId="0" fontId="3" fillId="0" borderId="34" xfId="57" applyFont="1" applyBorder="1" applyAlignment="1">
      <alignment horizontal="center"/>
      <protection/>
    </xf>
    <xf numFmtId="0" fontId="3" fillId="0" borderId="35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49" fontId="19" fillId="33" borderId="30" xfId="0" applyNumberFormat="1" applyFont="1" applyFill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novijadran.com/" TargetMode="External" /><Relationship Id="rId2" Type="http://schemas.openxmlformats.org/officeDocument/2006/relationships/hyperlink" Target="mailto:info@stanovijadran.com" TargetMode="External" /><Relationship Id="rId3" Type="http://schemas.openxmlformats.org/officeDocument/2006/relationships/hyperlink" Target="mailto:katija@stanovijadra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11.421875" style="11" customWidth="1"/>
    <col min="2" max="2" width="13.00390625" style="11" customWidth="1"/>
    <col min="3" max="4" width="11.421875" style="11" customWidth="1"/>
    <col min="5" max="5" width="10.7109375" style="11" customWidth="1"/>
    <col min="6" max="6" width="11.42187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11.421875" style="11" customWidth="1"/>
  </cols>
  <sheetData>
    <row r="1" spans="1:12" ht="15.75">
      <c r="A1" s="149" t="s">
        <v>248</v>
      </c>
      <c r="B1" s="150"/>
      <c r="C1" s="15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7" t="s">
        <v>249</v>
      </c>
      <c r="B2" s="188"/>
      <c r="C2" s="188"/>
      <c r="D2" s="189"/>
      <c r="E2" s="120" t="s">
        <v>322</v>
      </c>
      <c r="F2" s="12"/>
      <c r="G2" s="13" t="s">
        <v>250</v>
      </c>
      <c r="H2" s="120" t="s">
        <v>386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0" t="s">
        <v>316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7" t="s">
        <v>251</v>
      </c>
      <c r="B6" s="138"/>
      <c r="C6" s="193" t="s">
        <v>329</v>
      </c>
      <c r="D6" s="19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5" t="s">
        <v>252</v>
      </c>
      <c r="B8" s="196"/>
      <c r="C8" s="193" t="s">
        <v>330</v>
      </c>
      <c r="D8" s="19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2" t="s">
        <v>253</v>
      </c>
      <c r="B10" s="185"/>
      <c r="C10" s="193" t="s">
        <v>331</v>
      </c>
      <c r="D10" s="197"/>
      <c r="E10" s="198"/>
      <c r="F10" s="16"/>
      <c r="G10" s="16"/>
      <c r="H10" s="16"/>
      <c r="I10" s="95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7" t="s">
        <v>254</v>
      </c>
      <c r="B12" s="138"/>
      <c r="C12" s="157" t="s">
        <v>323</v>
      </c>
      <c r="D12" s="182"/>
      <c r="E12" s="182"/>
      <c r="F12" s="182"/>
      <c r="G12" s="182"/>
      <c r="H12" s="182"/>
      <c r="I12" s="14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7" t="s">
        <v>255</v>
      </c>
      <c r="B14" s="138"/>
      <c r="C14" s="183">
        <v>21000</v>
      </c>
      <c r="D14" s="184"/>
      <c r="E14" s="16"/>
      <c r="F14" s="157" t="s">
        <v>324</v>
      </c>
      <c r="G14" s="182"/>
      <c r="H14" s="182"/>
      <c r="I14" s="14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7" t="s">
        <v>256</v>
      </c>
      <c r="B16" s="138"/>
      <c r="C16" s="157" t="s">
        <v>325</v>
      </c>
      <c r="D16" s="182"/>
      <c r="E16" s="182"/>
      <c r="F16" s="182"/>
      <c r="G16" s="182"/>
      <c r="H16" s="182"/>
      <c r="I16" s="14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7" t="s">
        <v>257</v>
      </c>
      <c r="B18" s="138"/>
      <c r="C18" s="178" t="s">
        <v>332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7" t="s">
        <v>258</v>
      </c>
      <c r="B20" s="138"/>
      <c r="C20" s="178" t="s">
        <v>326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7" t="s">
        <v>259</v>
      </c>
      <c r="B22" s="138"/>
      <c r="C22" s="121">
        <v>409</v>
      </c>
      <c r="D22" s="157" t="s">
        <v>327</v>
      </c>
      <c r="E22" s="168"/>
      <c r="F22" s="169"/>
      <c r="G22" s="137"/>
      <c r="H22" s="18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7" t="s">
        <v>260</v>
      </c>
      <c r="B24" s="138"/>
      <c r="C24" s="121">
        <v>17</v>
      </c>
      <c r="D24" s="157" t="s">
        <v>333</v>
      </c>
      <c r="E24" s="168"/>
      <c r="F24" s="168"/>
      <c r="G24" s="169"/>
      <c r="H24" s="51" t="s">
        <v>261</v>
      </c>
      <c r="I24" s="122">
        <v>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7" t="s">
        <v>262</v>
      </c>
      <c r="B26" s="138"/>
      <c r="C26" s="123" t="s">
        <v>328</v>
      </c>
      <c r="D26" s="25"/>
      <c r="E26" s="33"/>
      <c r="F26" s="24"/>
      <c r="G26" s="170" t="s">
        <v>263</v>
      </c>
      <c r="H26" s="138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5"/>
      <c r="B30" s="158"/>
      <c r="C30" s="158"/>
      <c r="D30" s="159"/>
      <c r="E30" s="165"/>
      <c r="F30" s="158"/>
      <c r="G30" s="158"/>
      <c r="H30" s="155"/>
      <c r="I30" s="156"/>
      <c r="J30" s="10"/>
      <c r="K30" s="10"/>
      <c r="L30" s="10"/>
    </row>
    <row r="31" spans="1:12" ht="12.75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 ht="12.75">
      <c r="A32" s="165"/>
      <c r="B32" s="158"/>
      <c r="C32" s="158"/>
      <c r="D32" s="159"/>
      <c r="E32" s="165"/>
      <c r="F32" s="158"/>
      <c r="G32" s="158"/>
      <c r="H32" s="155"/>
      <c r="I32" s="156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5"/>
      <c r="B34" s="158"/>
      <c r="C34" s="158"/>
      <c r="D34" s="159"/>
      <c r="E34" s="165"/>
      <c r="F34" s="158"/>
      <c r="G34" s="158"/>
      <c r="H34" s="155"/>
      <c r="I34" s="15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5"/>
      <c r="B36" s="158"/>
      <c r="C36" s="158"/>
      <c r="D36" s="159"/>
      <c r="E36" s="165"/>
      <c r="F36" s="158"/>
      <c r="G36" s="158"/>
      <c r="H36" s="155"/>
      <c r="I36" s="156"/>
      <c r="J36" s="10"/>
      <c r="K36" s="10"/>
      <c r="L36" s="10"/>
    </row>
    <row r="37" spans="1:12" ht="12.75">
      <c r="A37" s="103"/>
      <c r="B37" s="30"/>
      <c r="C37" s="160"/>
      <c r="D37" s="161"/>
      <c r="E37" s="16"/>
      <c r="F37" s="160"/>
      <c r="G37" s="161"/>
      <c r="H37" s="16"/>
      <c r="I37" s="95"/>
      <c r="J37" s="10"/>
      <c r="K37" s="10"/>
      <c r="L37" s="10"/>
    </row>
    <row r="38" spans="1:12" ht="12.75">
      <c r="A38" s="165"/>
      <c r="B38" s="158"/>
      <c r="C38" s="158"/>
      <c r="D38" s="159"/>
      <c r="E38" s="165"/>
      <c r="F38" s="158"/>
      <c r="G38" s="158"/>
      <c r="H38" s="155"/>
      <c r="I38" s="156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5"/>
      <c r="B40" s="158"/>
      <c r="C40" s="158"/>
      <c r="D40" s="159"/>
      <c r="E40" s="165"/>
      <c r="F40" s="158"/>
      <c r="G40" s="158"/>
      <c r="H40" s="155"/>
      <c r="I40" s="156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2" t="s">
        <v>267</v>
      </c>
      <c r="B44" s="133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3"/>
      <c r="B45" s="30"/>
      <c r="C45" s="160"/>
      <c r="D45" s="161"/>
      <c r="E45" s="16"/>
      <c r="F45" s="160"/>
      <c r="G45" s="162"/>
      <c r="H45" s="35"/>
      <c r="I45" s="107"/>
      <c r="J45" s="10"/>
      <c r="K45" s="10"/>
      <c r="L45" s="10"/>
    </row>
    <row r="46" spans="1:12" ht="12.75">
      <c r="A46" s="132" t="s">
        <v>268</v>
      </c>
      <c r="B46" s="133"/>
      <c r="C46" s="157" t="s">
        <v>335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2" t="s">
        <v>270</v>
      </c>
      <c r="B48" s="133"/>
      <c r="C48" s="146" t="s">
        <v>336</v>
      </c>
      <c r="D48" s="147"/>
      <c r="E48" s="148"/>
      <c r="F48" s="16"/>
      <c r="G48" s="51" t="s">
        <v>271</v>
      </c>
      <c r="H48" s="139"/>
      <c r="I48" s="13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2" t="s">
        <v>257</v>
      </c>
      <c r="B50" s="133"/>
      <c r="C50" s="134" t="s">
        <v>337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7" t="s">
        <v>272</v>
      </c>
      <c r="B52" s="138"/>
      <c r="C52" s="139" t="s">
        <v>338</v>
      </c>
      <c r="D52" s="135"/>
      <c r="E52" s="135"/>
      <c r="F52" s="135"/>
      <c r="G52" s="135"/>
      <c r="H52" s="135"/>
      <c r="I52" s="140"/>
      <c r="J52" s="10"/>
      <c r="K52" s="10"/>
      <c r="L52" s="10"/>
    </row>
    <row r="53" spans="1:12" ht="12.75">
      <c r="A53" s="108"/>
      <c r="B53" s="20"/>
      <c r="C53" s="151" t="s">
        <v>273</v>
      </c>
      <c r="D53" s="151"/>
      <c r="E53" s="151"/>
      <c r="F53" s="151"/>
      <c r="G53" s="151"/>
      <c r="H53" s="15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1" t="s">
        <v>274</v>
      </c>
      <c r="C55" s="142"/>
      <c r="D55" s="142"/>
      <c r="E55" s="14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3" t="s">
        <v>306</v>
      </c>
      <c r="C56" s="144"/>
      <c r="D56" s="144"/>
      <c r="E56" s="144"/>
      <c r="F56" s="144"/>
      <c r="G56" s="144"/>
      <c r="H56" s="144"/>
      <c r="I56" s="145"/>
      <c r="J56" s="10"/>
      <c r="K56" s="10"/>
      <c r="L56" s="10"/>
    </row>
    <row r="57" spans="1:12" ht="12.75">
      <c r="A57" s="108"/>
      <c r="B57" s="143" t="s">
        <v>307</v>
      </c>
      <c r="C57" s="144"/>
      <c r="D57" s="144"/>
      <c r="E57" s="144"/>
      <c r="F57" s="144"/>
      <c r="G57" s="144"/>
      <c r="H57" s="144"/>
      <c r="I57" s="110"/>
      <c r="J57" s="10"/>
      <c r="K57" s="10"/>
      <c r="L57" s="10"/>
    </row>
    <row r="58" spans="1:12" ht="12.75">
      <c r="A58" s="108"/>
      <c r="B58" s="143" t="s">
        <v>308</v>
      </c>
      <c r="C58" s="144"/>
      <c r="D58" s="144"/>
      <c r="E58" s="144"/>
      <c r="F58" s="144"/>
      <c r="G58" s="144"/>
      <c r="H58" s="144"/>
      <c r="I58" s="145"/>
      <c r="J58" s="10"/>
      <c r="K58" s="10"/>
      <c r="L58" s="10"/>
    </row>
    <row r="59" spans="1:12" ht="12.75">
      <c r="A59" s="108"/>
      <c r="B59" s="143" t="s">
        <v>309</v>
      </c>
      <c r="C59" s="144"/>
      <c r="D59" s="144"/>
      <c r="E59" s="144"/>
      <c r="F59" s="144"/>
      <c r="G59" s="144"/>
      <c r="H59" s="144"/>
      <c r="I59" s="14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2" t="s">
        <v>277</v>
      </c>
      <c r="H62" s="153"/>
      <c r="I62" s="15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0"/>
      <c r="H63" s="131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A2:D2"/>
    <mergeCell ref="A4:I4"/>
    <mergeCell ref="A6:B6"/>
    <mergeCell ref="C6:D6"/>
    <mergeCell ref="A8:B8"/>
    <mergeCell ref="C8:D8"/>
    <mergeCell ref="C10:E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2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BS" error="MBS se unosi na devet znamenaka s vodećim nulama. Matični broj mora biti brojevna vrijednost." sqref="C8:D8">
      <formula1>9</formula1>
      <formula2>9</formula2>
    </dataValidation>
  </dataValidations>
  <hyperlinks>
    <hyperlink ref="C20" r:id="rId1" display="www.stanovijadran.com"/>
    <hyperlink ref="C18" r:id="rId2" display="info@stanovijadran.com"/>
    <hyperlink ref="C50" r:id="rId3" display="katija@stanovijadran.com"/>
  </hyperlinks>
  <printOptions/>
  <pageMargins left="0.75" right="0.75" top="1" bottom="1" header="0.5" footer="0.5"/>
  <pageSetup orientation="portrait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29">
      <selection activeCell="K27" sqref="K27"/>
    </sheetView>
  </sheetViews>
  <sheetFormatPr defaultColWidth="9.140625" defaultRowHeight="12.75"/>
  <cols>
    <col min="1" max="7" width="11.421875" style="52" customWidth="1"/>
    <col min="8" max="8" width="7.00390625" style="52" customWidth="1"/>
    <col min="9" max="9" width="11.421875" style="52" customWidth="1"/>
    <col min="10" max="10" width="10.28125" style="52" customWidth="1"/>
    <col min="11" max="11" width="11.00390625" style="52" customWidth="1"/>
    <col min="12" max="16384" width="11.421875" style="52" customWidth="1"/>
  </cols>
  <sheetData>
    <row r="1" spans="1:11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387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381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2.5">
      <c r="A4" s="214" t="s">
        <v>59</v>
      </c>
      <c r="B4" s="215"/>
      <c r="C4" s="215"/>
      <c r="D4" s="215"/>
      <c r="E4" s="215"/>
      <c r="F4" s="215"/>
      <c r="G4" s="215"/>
      <c r="H4" s="216"/>
      <c r="I4" s="58" t="s">
        <v>278</v>
      </c>
      <c r="J4" s="59" t="s">
        <v>318</v>
      </c>
      <c r="K4" s="60" t="s">
        <v>319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7">
        <v>2</v>
      </c>
      <c r="J5" s="56">
        <v>3</v>
      </c>
      <c r="K5" s="56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48963912</v>
      </c>
      <c r="K8" s="53">
        <f>K9+K16+K26+K35+K39</f>
        <v>72445523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20000</v>
      </c>
      <c r="K9" s="53">
        <f>SUM(K10:K15)</f>
        <v>21770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/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20000</v>
      </c>
      <c r="K11" s="7">
        <f>21800-30</f>
        <v>21770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/>
      <c r="K12" s="7"/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/>
      <c r="K13" s="7"/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/>
      <c r="K14" s="7"/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/>
      <c r="K15" s="7"/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20472226</v>
      </c>
      <c r="K16" s="53">
        <f>SUM(K17:K25)</f>
        <v>42064374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 t="s">
        <v>339</v>
      </c>
      <c r="K17" s="7"/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/>
      <c r="K18" s="7"/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24065</v>
      </c>
      <c r="K19" s="7">
        <f>64839+6821-5797-43597+3871</f>
        <v>26137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/>
      <c r="K20" s="7"/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/>
      <c r="K21" s="7"/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/>
      <c r="K22" s="7"/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/>
      <c r="K23" s="7"/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/>
      <c r="K24" s="7"/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20448161</v>
      </c>
      <c r="K25" s="7">
        <f>12059185+35275797+291251-5587996</f>
        <v>42038237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28471686</v>
      </c>
      <c r="K26" s="53">
        <f>SUM(K27:K34)</f>
        <v>30359379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25667219</v>
      </c>
      <c r="K27" s="7">
        <f>33544630-5837411-21091+269097</f>
        <v>27955225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/>
      <c r="K28" s="7"/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/>
      <c r="K29" s="7"/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/>
      <c r="K30" s="7"/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/>
      <c r="K31" s="7"/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/>
      <c r="K32" s="7">
        <f>148549+11000</f>
        <v>159549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2804467</v>
      </c>
      <c r="K33" s="7">
        <f>3249335-1004730</f>
        <v>2244605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>
        <v>0</v>
      </c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 t="s">
        <v>339</v>
      </c>
      <c r="K36" s="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/>
      <c r="K37" s="7"/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/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19516215</v>
      </c>
      <c r="K40" s="53">
        <f>K41+K49+K56+K64</f>
        <v>6570466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/>
      <c r="K42" s="7"/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/>
      <c r="K43" s="7"/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/>
      <c r="K44" s="7"/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/>
      <c r="K45" s="7"/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/>
      <c r="K46" s="7"/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/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/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3045492</v>
      </c>
      <c r="K49" s="53">
        <f>SUM(K50:K55)</f>
        <v>3133020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f>2343173-2340297</f>
        <v>2876</v>
      </c>
      <c r="K50" s="7">
        <v>68250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f>245760+2340297</f>
        <v>2586057</v>
      </c>
      <c r="K51" s="7">
        <f>2509083-K50</f>
        <v>2440833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/>
      <c r="K52" s="7"/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/>
      <c r="K53" s="7"/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304043</v>
      </c>
      <c r="K54" s="7">
        <f>365+169+124438+92601-450</f>
        <v>217123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152516</v>
      </c>
      <c r="K55" s="7">
        <v>406814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f>SUM(J57:J63)</f>
        <v>15885669</v>
      </c>
      <c r="K56" s="53">
        <f>SUM(K57:K63)</f>
        <v>3356224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5655500</v>
      </c>
      <c r="K58" s="7">
        <v>98500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>
        <v>500000</v>
      </c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/>
      <c r="K61" s="7"/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10230169</v>
      </c>
      <c r="K62" s="7">
        <f>3142500+213724-K58-K60</f>
        <v>2757724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/>
      <c r="K63" s="7"/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585054</v>
      </c>
      <c r="K64" s="7">
        <f>78005+676+2041+500</f>
        <v>81222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776</v>
      </c>
      <c r="K65" s="7">
        <v>175126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68480903</v>
      </c>
      <c r="K66" s="53">
        <f>K7+K8+K40+K65</f>
        <v>79191115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4">
        <f>J70+J71+J72+J78+J79+J82+J85</f>
        <v>64551725</v>
      </c>
      <c r="K69" s="54">
        <f>K70+K71+K72+K78+K79+K82+K85</f>
        <v>63162153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76248000</v>
      </c>
      <c r="K70" s="7">
        <v>76248000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/>
      <c r="K71" s="7"/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J73+J74-J75+J76+J77</f>
        <v>3357629</v>
      </c>
      <c r="K72" s="53">
        <f>K73+K74-K75+K76+K77</f>
        <v>3357629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/>
      <c r="K73" s="7"/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/>
      <c r="K74" s="7"/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/>
      <c r="K75" s="7"/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/>
      <c r="K76" s="7"/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3357629</v>
      </c>
      <c r="K77" s="7">
        <v>3357629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v>-475487</v>
      </c>
      <c r="K78" s="7">
        <v>-1024349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-12981933</v>
      </c>
      <c r="K79" s="53">
        <f>K80-K81</f>
        <v>-14578417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/>
      <c r="K80" s="7"/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12981933</v>
      </c>
      <c r="K81" s="7">
        <f>12957330+1621087</f>
        <v>14578417</v>
      </c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-1596484</v>
      </c>
      <c r="K82" s="53">
        <f>K83-K84</f>
        <v>-840710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/>
      <c r="K83" s="7"/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1596484</v>
      </c>
      <c r="K84" s="7">
        <v>840710</v>
      </c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/>
      <c r="K87" s="7"/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2997883</v>
      </c>
      <c r="K90" s="53">
        <f>SUM(K91:K99)</f>
        <v>9669947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/>
      <c r="K92" s="7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2997883</v>
      </c>
      <c r="K93" s="7">
        <v>9669947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/>
      <c r="K98" s="7"/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917770</v>
      </c>
      <c r="K100" s="53">
        <f>SUM(K101:K112)</f>
        <v>6359015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f>595+121700</f>
        <v>122295</v>
      </c>
      <c r="K101" s="7">
        <v>103700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>
        <f>281500-121700</f>
        <v>159800</v>
      </c>
      <c r="K102" s="7">
        <f>263500-K101+1036000+19805-K103</f>
        <v>1209228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46021</v>
      </c>
      <c r="K103" s="7">
        <v>6377</v>
      </c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/>
      <c r="K104" s="7">
        <v>4474353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526017</v>
      </c>
      <c r="K105" s="7">
        <f>461247+10884</f>
        <v>472131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/>
      <c r="K106" s="7"/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/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40071</v>
      </c>
      <c r="K108" s="7">
        <f>5902+53389</f>
        <v>59291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23566</v>
      </c>
      <c r="K109" s="7">
        <f>3051+11857+7483+11544</f>
        <v>33935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/>
      <c r="K110" s="7"/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7"/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/>
      <c r="K112" s="7">
        <v>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13525</v>
      </c>
      <c r="K113" s="7"/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68480903</v>
      </c>
      <c r="K114" s="53">
        <f>K69+K86+K90+K100+K113</f>
        <v>79191115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23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7"/>
      <c r="J117" s="237"/>
      <c r="K117" s="238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ht="12.75">
      <c r="A120" s="242" t="s">
        <v>311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orientation="portrait" scale="7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49">
      <selection activeCell="A43" sqref="A43:IV43"/>
    </sheetView>
  </sheetViews>
  <sheetFormatPr defaultColWidth="9.140625" defaultRowHeight="12.75"/>
  <cols>
    <col min="1" max="9" width="11.42187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11.421875" style="52" customWidth="1"/>
  </cols>
  <sheetData>
    <row r="1" spans="1:13" ht="12.75" customHeight="1">
      <c r="A1" s="209" t="s">
        <v>154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53" t="s">
        <v>388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4" t="s">
        <v>381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59</v>
      </c>
      <c r="B4" s="245"/>
      <c r="C4" s="245"/>
      <c r="D4" s="245"/>
      <c r="E4" s="245"/>
      <c r="F4" s="245"/>
      <c r="G4" s="245"/>
      <c r="H4" s="245"/>
      <c r="I4" s="58" t="s">
        <v>279</v>
      </c>
      <c r="J4" s="246" t="s">
        <v>318</v>
      </c>
      <c r="K4" s="246"/>
      <c r="L4" s="246" t="s">
        <v>319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4">
        <f>J8+J9</f>
        <v>230195</v>
      </c>
      <c r="K7" s="54">
        <f>K8+K9</f>
        <v>130284</v>
      </c>
      <c r="L7" s="54">
        <f>SUM(L8:L9)</f>
        <v>1024549</v>
      </c>
      <c r="M7" s="54">
        <f>SUM(M8:M9)</f>
        <v>378202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f>97302+96000</f>
        <v>193302</v>
      </c>
      <c r="K8" s="7">
        <f>24000+96000</f>
        <v>120000</v>
      </c>
      <c r="L8" s="7">
        <f>99312+238527+19019+609145</f>
        <v>966003</v>
      </c>
      <c r="M8" s="7">
        <f>23300+64443+19019+212894</f>
        <v>319656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36893</v>
      </c>
      <c r="K9" s="7">
        <f>4337+5947</f>
        <v>10284</v>
      </c>
      <c r="L9" s="7">
        <f>38745+19436+365</f>
        <v>58546</v>
      </c>
      <c r="M9" s="7">
        <f>38745+19435+366</f>
        <v>58546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2163165</v>
      </c>
      <c r="K10" s="53">
        <f>K11+K12+K16+K20+K21+K22+K25+K26</f>
        <v>364761</v>
      </c>
      <c r="L10" s="53">
        <f>L11+L12+L16+L20+L21+L22+L25+L26</f>
        <v>2401423</v>
      </c>
      <c r="M10" s="53">
        <f>M11+M12+M16+M20+M21+M22+M25+M26</f>
        <v>741038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J13+J14+J15</f>
        <v>1325098</v>
      </c>
      <c r="K12" s="53">
        <f>K13+K14+K15</f>
        <v>127964</v>
      </c>
      <c r="L12" s="53">
        <f>L13+L14+L15</f>
        <v>991762</v>
      </c>
      <c r="M12" s="53">
        <f>M13+M14+M15</f>
        <v>286938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50772</v>
      </c>
      <c r="K13" s="7">
        <f>1040+7325+3150</f>
        <v>11515</v>
      </c>
      <c r="L13" s="7">
        <f>12647+37965+48746+1230+80</f>
        <v>100668</v>
      </c>
      <c r="M13" s="7">
        <f>5112+21620+4840</f>
        <v>31572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/>
      <c r="K14" s="7"/>
      <c r="L14" s="7"/>
      <c r="M14" s="7"/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1274326</v>
      </c>
      <c r="K15" s="7">
        <f>5132+10386+1069+29649+5454+12126+150+110+5328+35759+11276+10</f>
        <v>116449</v>
      </c>
      <c r="L15" s="7">
        <f>52692+76604+8336+3900+152841+3200+62979+55257+2248+99580+309385+13000+46768+4304</f>
        <v>891094</v>
      </c>
      <c r="M15" s="7">
        <f>31885+21833+300+1400+29267+3200+15486+11286+8541+102330+13000+16838</f>
        <v>255366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645340</v>
      </c>
      <c r="K16" s="53">
        <f>SUM(K17:K19)</f>
        <v>161396</v>
      </c>
      <c r="L16" s="53">
        <f>SUM(L17:L19)</f>
        <v>788880</v>
      </c>
      <c r="M16" s="53">
        <f>SUM(M17:M19)</f>
        <v>221665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405088</v>
      </c>
      <c r="K17" s="7">
        <v>101115</v>
      </c>
      <c r="L17" s="7">
        <v>503520</v>
      </c>
      <c r="M17" s="7">
        <v>141255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145555</v>
      </c>
      <c r="K18" s="7">
        <f>9079+27528</f>
        <v>36607</v>
      </c>
      <c r="L18" s="7">
        <f>43707+129142</f>
        <v>172849</v>
      </c>
      <c r="M18" s="7">
        <f>13228+35340</f>
        <v>48568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94697</v>
      </c>
      <c r="K19" s="7">
        <v>23674</v>
      </c>
      <c r="L19" s="7">
        <v>112511</v>
      </c>
      <c r="M19" s="7">
        <v>31842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3230</v>
      </c>
      <c r="K20" s="7">
        <f>333+2897</f>
        <v>3230</v>
      </c>
      <c r="L20" s="7">
        <f>30+191554</f>
        <v>191584</v>
      </c>
      <c r="M20" s="7">
        <f>30+71103</f>
        <v>71133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177782</v>
      </c>
      <c r="K21" s="7">
        <f>1341+33273+4460+191+4330+650+22226</f>
        <v>66471</v>
      </c>
      <c r="L21" s="7">
        <f>16276+158469+18437+11445+4068+4759+13164+10000+97656</f>
        <v>334274</v>
      </c>
      <c r="M21" s="7">
        <f>1341+70072+11445+2943+2840+6766+10000+26769</f>
        <v>132176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/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/>
      <c r="K23" s="7"/>
      <c r="L23" s="7"/>
      <c r="M23" s="7"/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11715</v>
      </c>
      <c r="K26" s="7">
        <v>5700</v>
      </c>
      <c r="L26" s="7">
        <f>85876+9047</f>
        <v>94923</v>
      </c>
      <c r="M26" s="7">
        <f>20079+9047</f>
        <v>29126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381032</v>
      </c>
      <c r="K27" s="53">
        <f>SUM(K28:K32)</f>
        <v>324876</v>
      </c>
      <c r="L27" s="53">
        <f>SUM(L28:L32)</f>
        <v>810927</v>
      </c>
      <c r="M27" s="53">
        <f>SUM(M28:M32)</f>
        <v>696557</v>
      </c>
    </row>
    <row r="28" spans="1:13" ht="22.5" customHeight="1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15452</v>
      </c>
      <c r="K28" s="7">
        <v>15452</v>
      </c>
      <c r="L28" s="7">
        <v>0</v>
      </c>
      <c r="M28" s="7">
        <v>0</v>
      </c>
    </row>
    <row r="29" spans="1:13" ht="18.75" customHeight="1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f>296527+13132</f>
        <v>309659</v>
      </c>
      <c r="K29" s="7">
        <f>296292+13132</f>
        <v>309424</v>
      </c>
      <c r="L29" s="7">
        <f>117595+42+367</f>
        <v>118004</v>
      </c>
      <c r="M29" s="7">
        <v>5895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55921</v>
      </c>
      <c r="K32" s="7">
        <v>0</v>
      </c>
      <c r="L32" s="7">
        <v>692923</v>
      </c>
      <c r="M32" s="7">
        <v>690662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44546</v>
      </c>
      <c r="K33" s="53">
        <f>SUM(K34:K37)</f>
        <v>35127</v>
      </c>
      <c r="L33" s="53">
        <f>SUM(L34:L37)</f>
        <v>274763</v>
      </c>
      <c r="M33" s="53">
        <f>SUM(M34:M37)</f>
        <v>128866</v>
      </c>
    </row>
    <row r="34" spans="1:13" ht="16.5" customHeight="1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8" customHeight="1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f>5851+4139</f>
        <v>9990</v>
      </c>
      <c r="K35" s="7">
        <f>542+65</f>
        <v>607</v>
      </c>
      <c r="L35" s="7">
        <f>9763+243459</f>
        <v>253222</v>
      </c>
      <c r="M35" s="7">
        <f>9620+98155</f>
        <v>107775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34556</v>
      </c>
      <c r="K37" s="7">
        <v>34520</v>
      </c>
      <c r="L37" s="7">
        <v>21541</v>
      </c>
      <c r="M37" s="7">
        <v>21091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611227</v>
      </c>
      <c r="K42" s="53">
        <f>K7+K27+K38+K40</f>
        <v>455160</v>
      </c>
      <c r="L42" s="53">
        <f>L7+L27+L38+L40</f>
        <v>1835476</v>
      </c>
      <c r="M42" s="53">
        <f>M7+M27+M38+M40</f>
        <v>1074759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2207711</v>
      </c>
      <c r="K43" s="53">
        <f>K10+K33+K39+K41</f>
        <v>399888</v>
      </c>
      <c r="L43" s="53">
        <f>L10+L33+L39+L41</f>
        <v>2676186</v>
      </c>
      <c r="M43" s="53">
        <f>M10+M33+M39+M41</f>
        <v>869904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-1596484</v>
      </c>
      <c r="K44" s="53">
        <f>K42-K43</f>
        <v>55272</v>
      </c>
      <c r="L44" s="53">
        <f>L42-L43</f>
        <v>-840710</v>
      </c>
      <c r="M44" s="53">
        <f>M42-M43</f>
        <v>204855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f>IF(J42&gt;J43,J42-J43,0)</f>
        <v>0</v>
      </c>
      <c r="K45" s="53">
        <f>IF(K42&gt;K43,K42-K43,0)</f>
        <v>55272</v>
      </c>
      <c r="L45" s="53">
        <f>IF(L42&gt;L43,L42-L43,0)</f>
        <v>0</v>
      </c>
      <c r="M45" s="53">
        <f>IF(M42&gt;M43,M42-M43,0)</f>
        <v>204855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>
        <f>IF(J43&gt;J42,J43-J42,0)</f>
        <v>1596484</v>
      </c>
      <c r="K46" s="53">
        <f>IF(K43&gt;K42,K43-K42,0)</f>
        <v>0</v>
      </c>
      <c r="L46" s="53">
        <f>IF(L43&gt;L42,L43-L42,0)</f>
        <v>840710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-1596484</v>
      </c>
      <c r="K48" s="53">
        <f>K44-K47</f>
        <v>55272</v>
      </c>
      <c r="L48" s="53">
        <f>L44-L47</f>
        <v>-840710</v>
      </c>
      <c r="M48" s="53">
        <f>M44-M47</f>
        <v>204855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>
        <f>IF(J48&gt;0,J48,0)</f>
        <v>0</v>
      </c>
      <c r="K49" s="53">
        <f>IF(K48&gt;0,K48,0)</f>
        <v>55272</v>
      </c>
      <c r="L49" s="53">
        <f>IF(L48&gt;0,L48,0)</f>
        <v>0</v>
      </c>
      <c r="M49" s="53">
        <f>IF(M48&gt;0,M48,0)</f>
        <v>204855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1">
        <f>IF(J48&lt;0,-J48,0)</f>
        <v>1596484</v>
      </c>
      <c r="K50" s="61">
        <f>IF(K48&lt;0,-K48,0)</f>
        <v>0</v>
      </c>
      <c r="L50" s="61">
        <f>IF(L48&lt;0,-L48,0)</f>
        <v>840710</v>
      </c>
      <c r="M50" s="61">
        <f>IF(M48&lt;0,-M48,0)</f>
        <v>0</v>
      </c>
    </row>
    <row r="51" spans="1:13" ht="12.75" customHeight="1">
      <c r="A51" s="223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62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3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-509605</v>
      </c>
      <c r="K57" s="53">
        <f>SUM(K58:K64)</f>
        <v>-440091</v>
      </c>
      <c r="L57" s="53">
        <f>SUM(L58:L64)</f>
        <v>-548862</v>
      </c>
      <c r="M57" s="53">
        <f>SUM(M58:M64)</f>
        <v>-115955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20.25" customHeight="1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21.75" customHeight="1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-509605</v>
      </c>
      <c r="K60" s="7">
        <v>-440091</v>
      </c>
      <c r="L60" s="7">
        <f>3502-552364</f>
        <v>-548862</v>
      </c>
      <c r="M60" s="7">
        <v>-115955</v>
      </c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-509605</v>
      </c>
      <c r="K66" s="53">
        <f>K57-K65</f>
        <v>-440091</v>
      </c>
      <c r="L66" s="53">
        <f>L57-L65</f>
        <v>-548862</v>
      </c>
      <c r="M66" s="53">
        <f>M57-M65</f>
        <v>-115955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-509605</v>
      </c>
      <c r="K67" s="61">
        <f>K56+K66</f>
        <v>-440091</v>
      </c>
      <c r="L67" s="61">
        <f>L56+L66</f>
        <v>-548862</v>
      </c>
      <c r="M67" s="61">
        <f>M56+M66</f>
        <v>-115955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31">
      <selection activeCell="K30" sqref="K30"/>
    </sheetView>
  </sheetViews>
  <sheetFormatPr defaultColWidth="9.140625" defaultRowHeight="12.75"/>
  <cols>
    <col min="1" max="7" width="11.421875" style="52" customWidth="1"/>
    <col min="8" max="8" width="5.8515625" style="52" customWidth="1"/>
    <col min="9" max="9" width="11.421875" style="52" customWidth="1"/>
    <col min="10" max="10" width="9.8515625" style="52" customWidth="1"/>
    <col min="11" max="11" width="10.421875" style="52" customWidth="1"/>
    <col min="12" max="16384" width="11.42187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389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381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318</v>
      </c>
      <c r="K4" s="67" t="s">
        <v>319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8">
        <v>2</v>
      </c>
      <c r="J5" s="69" t="s">
        <v>283</v>
      </c>
      <c r="K5" s="69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-1596484</v>
      </c>
      <c r="K7" s="7">
        <f>RDG!L48</f>
        <v>-840710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3230</v>
      </c>
      <c r="K8" s="7">
        <f>RDG!L20</f>
        <v>191584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5">
        <v>0</v>
      </c>
      <c r="K9" s="7">
        <f>5427770</f>
        <v>5427770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5">
        <f>7176103+3022-3045492-776</f>
        <v>4132857</v>
      </c>
      <c r="K10" s="7">
        <v>0</v>
      </c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5">
        <v>0</v>
      </c>
      <c r="K11" s="7">
        <v>0</v>
      </c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5">
        <f>2997883-2955015+64551725+1596484-36317815</f>
        <v>29873262</v>
      </c>
      <c r="K12" s="7">
        <v>0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32412865</v>
      </c>
      <c r="K13" s="53">
        <f>SUM(K7:K12)</f>
        <v>4778644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5">
        <v>10934218</v>
      </c>
      <c r="K14" s="7"/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5">
        <v>0</v>
      </c>
      <c r="K15" s="7">
        <v>262328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>
        <v>0</v>
      </c>
      <c r="K17" s="7">
        <v>548862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10934218</v>
      </c>
      <c r="K18" s="53">
        <f>SUM(K14:K17)</f>
        <v>811190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21478647</v>
      </c>
      <c r="K19" s="53">
        <f>IF(K13&gt;K18,K13-K18,0)</f>
        <v>3967454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3" t="s">
        <v>159</v>
      </c>
      <c r="B21" s="234"/>
      <c r="C21" s="234"/>
      <c r="D21" s="234"/>
      <c r="E21" s="234"/>
      <c r="F21" s="234"/>
      <c r="G21" s="234"/>
      <c r="H21" s="234"/>
      <c r="I21" s="268"/>
      <c r="J21" s="268"/>
      <c r="K21" s="269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>
        <v>0</v>
      </c>
      <c r="K22" s="7">
        <v>0</v>
      </c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>
        <v>0</v>
      </c>
      <c r="K23" s="7">
        <v>0</v>
      </c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4549766</v>
      </c>
      <c r="K28" s="7">
        <v>21785502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>
        <f>1618596+269087-440</f>
        <v>1887243</v>
      </c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>
        <v>16449774</v>
      </c>
      <c r="K30" s="7">
        <v>0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20999540</v>
      </c>
      <c r="K31" s="53">
        <f>SUM(K28:K30)</f>
        <v>23672745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20999540</v>
      </c>
      <c r="K33" s="53">
        <f>IF(K31&gt;K27,K31-K27,0)</f>
        <v>23672745</v>
      </c>
    </row>
    <row r="34" spans="1:11" ht="12.75">
      <c r="A34" s="223" t="s">
        <v>160</v>
      </c>
      <c r="B34" s="234"/>
      <c r="C34" s="234"/>
      <c r="D34" s="234"/>
      <c r="E34" s="234"/>
      <c r="F34" s="234"/>
      <c r="G34" s="234"/>
      <c r="H34" s="234"/>
      <c r="I34" s="268"/>
      <c r="J34" s="268"/>
      <c r="K34" s="269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>
        <f>12529445+6672014</f>
        <v>19201459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19201459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/>
      <c r="K39" s="7">
        <v>0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>
        <v>0</v>
      </c>
      <c r="K43" s="7">
        <v>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0</v>
      </c>
    </row>
    <row r="45" spans="1:11" ht="18.75" customHeight="1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19201459</v>
      </c>
    </row>
    <row r="46" spans="1:11" ht="18" customHeight="1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IF(J19-J20+J32-J33+J45-J46&gt;0,J19-J20+J32-J33+J45-J46,0)</f>
        <v>479107</v>
      </c>
      <c r="K47" s="53">
        <f>IF(K19-K20+K32-K33+K45-K46&gt;0,K19-K20+K32-K33+K45-K46,0)</f>
        <v>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503832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105947</v>
      </c>
      <c r="K49" s="7">
        <v>585054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>
        <f>J45+J32+J19</f>
        <v>21478647</v>
      </c>
      <c r="K50" s="5">
        <f>K45+K32+K19</f>
        <v>23168913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f>J46+J20+J33</f>
        <v>20999540</v>
      </c>
      <c r="K51" s="5">
        <f>K46+K20+K33</f>
        <v>23672745</v>
      </c>
    </row>
    <row r="52" spans="1:11" ht="12.75">
      <c r="A52" s="239" t="s">
        <v>177</v>
      </c>
      <c r="B52" s="240"/>
      <c r="C52" s="240"/>
      <c r="D52" s="240"/>
      <c r="E52" s="240"/>
      <c r="F52" s="240"/>
      <c r="G52" s="240"/>
      <c r="H52" s="240"/>
      <c r="I52" s="4">
        <v>44</v>
      </c>
      <c r="J52" s="65">
        <f>J49+J50-J51</f>
        <v>585054</v>
      </c>
      <c r="K52" s="61">
        <f>K49+K50-K51</f>
        <v>81222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11.42187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318</v>
      </c>
      <c r="K4" s="67" t="s">
        <v>319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2">
        <v>2</v>
      </c>
      <c r="J5" s="73" t="s">
        <v>283</v>
      </c>
      <c r="K5" s="73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3" t="s">
        <v>159</v>
      </c>
      <c r="B22" s="234"/>
      <c r="C22" s="234"/>
      <c r="D22" s="234"/>
      <c r="E22" s="234"/>
      <c r="F22" s="234"/>
      <c r="G22" s="234"/>
      <c r="H22" s="234"/>
      <c r="I22" s="268"/>
      <c r="J22" s="268"/>
      <c r="K22" s="269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320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321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3" t="s">
        <v>160</v>
      </c>
      <c r="B35" s="234"/>
      <c r="C35" s="234"/>
      <c r="D35" s="234"/>
      <c r="E35" s="234"/>
      <c r="F35" s="234"/>
      <c r="G35" s="234"/>
      <c r="H35" s="234"/>
      <c r="I35" s="268">
        <v>0</v>
      </c>
      <c r="J35" s="268"/>
      <c r="K35" s="269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22">
      <selection activeCell="K10" sqref="K10"/>
    </sheetView>
  </sheetViews>
  <sheetFormatPr defaultColWidth="9.140625" defaultRowHeight="12.75"/>
  <cols>
    <col min="1" max="4" width="11.421875" style="76" customWidth="1"/>
    <col min="5" max="5" width="10.140625" style="76" bestFit="1" customWidth="1"/>
    <col min="6" max="16384" width="11.42187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93" t="s">
        <v>282</v>
      </c>
      <c r="D2" s="293"/>
      <c r="E2" s="77">
        <v>43101</v>
      </c>
      <c r="F2" s="43" t="s">
        <v>250</v>
      </c>
      <c r="G2" s="294">
        <v>43465</v>
      </c>
      <c r="H2" s="295"/>
      <c r="I2" s="74"/>
      <c r="J2" s="74"/>
      <c r="K2" s="74"/>
      <c r="L2" s="78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81" t="s">
        <v>305</v>
      </c>
      <c r="J3" s="82" t="s">
        <v>150</v>
      </c>
      <c r="K3" s="82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4">
        <v>2</v>
      </c>
      <c r="J4" s="83" t="s">
        <v>283</v>
      </c>
      <c r="K4" s="83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4">
        <v>1</v>
      </c>
      <c r="J5" s="45">
        <v>76248000</v>
      </c>
      <c r="K5" s="45">
        <v>76248000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4">
        <v>2</v>
      </c>
      <c r="J6" s="46"/>
      <c r="K6" s="46"/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4">
        <v>3</v>
      </c>
      <c r="J7" s="46">
        <v>3357629</v>
      </c>
      <c r="K7" s="46">
        <v>3357629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4">
        <v>4</v>
      </c>
      <c r="J8" s="46">
        <v>-12981833</v>
      </c>
      <c r="K8" s="46">
        <f>Bilanca!K79</f>
        <v>-14578417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4">
        <v>5</v>
      </c>
      <c r="J9" s="46">
        <v>-1596484</v>
      </c>
      <c r="K9" s="46">
        <v>-840710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4">
        <v>6</v>
      </c>
      <c r="J10" s="46"/>
      <c r="K10" s="46"/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4">
        <v>7</v>
      </c>
      <c r="J11" s="46"/>
      <c r="K11" s="46"/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4">
        <v>8</v>
      </c>
      <c r="J12" s="46">
        <v>-475487</v>
      </c>
      <c r="K12" s="46">
        <v>-1024349</v>
      </c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4">
        <v>9</v>
      </c>
      <c r="J13" s="46"/>
      <c r="K13" s="46"/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4">
        <v>10</v>
      </c>
      <c r="J14" s="79">
        <f>SUM(J5:J13)</f>
        <v>64551825</v>
      </c>
      <c r="K14" s="79">
        <f>SUM(K5:K13)</f>
        <v>63162153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4">
        <v>11</v>
      </c>
      <c r="J15" s="46"/>
      <c r="K15" s="46"/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6"/>
      <c r="K16" s="46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44">
        <v>13</v>
      </c>
      <c r="J17" s="46"/>
      <c r="K17" s="46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6"/>
      <c r="K18" s="46"/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6"/>
      <c r="K19" s="46"/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6"/>
      <c r="K20" s="46"/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SheetLayoutView="100" zoomScalePageLayoutView="0" workbookViewId="0" topLeftCell="A34">
      <selection activeCell="B56" sqref="B56"/>
    </sheetView>
  </sheetViews>
  <sheetFormatPr defaultColWidth="8.8515625" defaultRowHeight="12.75"/>
  <cols>
    <col min="1" max="9" width="8.8515625" style="0" customWidth="1"/>
    <col min="10" max="10" width="17.28125" style="0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344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>
      <c r="A5" s="128" t="s">
        <v>345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40" t="s">
        <v>346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128" t="s">
        <v>347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40" t="s">
        <v>348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40" t="s">
        <v>340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s="128" t="s">
        <v>349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s="128" t="s">
        <v>350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351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128" t="s">
        <v>352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353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28" t="s">
        <v>354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 t="s">
        <v>355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128" t="s">
        <v>356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128" t="s">
        <v>357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128" t="s">
        <v>358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128" t="s">
        <v>359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128" t="s">
        <v>360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128" t="s">
        <v>361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128" t="s">
        <v>362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 t="s">
        <v>363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2.75">
      <c r="A26" s="128" t="s">
        <v>364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2.75">
      <c r="A27" s="40" t="s">
        <v>365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2.75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2.75">
      <c r="A30" s="40" t="s">
        <v>341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12.7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12.75">
      <c r="A32" s="128" t="s">
        <v>366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15">
      <c r="A33" s="128" t="s">
        <v>367</v>
      </c>
      <c r="B33" s="40"/>
      <c r="C33" s="40"/>
      <c r="D33" s="40"/>
      <c r="E33" s="40"/>
      <c r="F33" s="40"/>
      <c r="G33" s="40"/>
      <c r="H33" s="40"/>
      <c r="I33" s="41"/>
      <c r="J33" s="40"/>
    </row>
    <row r="34" spans="1:10" ht="12.75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12.75">
      <c r="A35" s="40" t="s">
        <v>342</v>
      </c>
      <c r="B35" s="40"/>
      <c r="C35" s="40"/>
      <c r="D35" s="40"/>
      <c r="E35" s="40"/>
      <c r="F35" s="40"/>
      <c r="G35" s="40"/>
      <c r="H35" s="40"/>
      <c r="I35" s="40"/>
      <c r="J35" s="40"/>
    </row>
    <row r="37" ht="12.75">
      <c r="A37" s="129" t="s">
        <v>372</v>
      </c>
    </row>
    <row r="38" ht="12.75">
      <c r="A38" s="129" t="s">
        <v>371</v>
      </c>
    </row>
    <row r="39" ht="12.75">
      <c r="A39" s="129" t="s">
        <v>370</v>
      </c>
    </row>
    <row r="40" ht="12.75">
      <c r="A40" s="129" t="s">
        <v>369</v>
      </c>
    </row>
    <row r="41" ht="12.75">
      <c r="A41" s="129" t="s">
        <v>368</v>
      </c>
    </row>
    <row r="43" ht="12.75">
      <c r="A43" t="s">
        <v>343</v>
      </c>
    </row>
    <row r="45" ht="12.75">
      <c r="A45" s="129" t="s">
        <v>378</v>
      </c>
    </row>
    <row r="46" ht="12.75">
      <c r="A46" s="129" t="s">
        <v>379</v>
      </c>
    </row>
    <row r="47" ht="12.75">
      <c r="A47" s="129" t="s">
        <v>380</v>
      </c>
    </row>
    <row r="48" ht="12.75">
      <c r="A48" s="129" t="s">
        <v>373</v>
      </c>
    </row>
    <row r="49" ht="12.75">
      <c r="A49" s="129" t="s">
        <v>374</v>
      </c>
    </row>
    <row r="50" ht="12.75">
      <c r="A50" s="129" t="s">
        <v>382</v>
      </c>
    </row>
    <row r="51" ht="12.75">
      <c r="A51" s="129" t="s">
        <v>375</v>
      </c>
    </row>
    <row r="52" ht="12.75">
      <c r="A52" s="129" t="s">
        <v>376</v>
      </c>
    </row>
    <row r="53" ht="12.75">
      <c r="A53" s="129" t="s">
        <v>377</v>
      </c>
    </row>
    <row r="55" spans="1:2" ht="12.75">
      <c r="A55" t="s">
        <v>383</v>
      </c>
      <c r="B55" t="s">
        <v>390</v>
      </c>
    </row>
    <row r="56" ht="12.75">
      <c r="H56" t="s">
        <v>384</v>
      </c>
    </row>
    <row r="58" ht="12.75">
      <c r="H58" t="s">
        <v>385</v>
      </c>
    </row>
  </sheetData>
  <sheetProtection/>
  <mergeCells count="1">
    <mergeCell ref="A2:J2"/>
  </mergeCells>
  <printOptions/>
  <pageMargins left="0.75" right="0.75" top="1" bottom="1" header="0.5" footer="0.5"/>
  <pageSetup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 Bradic</cp:lastModifiedBy>
  <cp:lastPrinted>2019-01-31T13:20:02Z</cp:lastPrinted>
  <dcterms:created xsi:type="dcterms:W3CDTF">2008-10-17T11:51:54Z</dcterms:created>
  <dcterms:modified xsi:type="dcterms:W3CDTF">2019-01-31T13:20:13Z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